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190" activeTab="2"/>
  </bookViews>
  <sheets>
    <sheet name="Kalkyl" sheetId="1" r:id="rId1"/>
    <sheet name="Effekt" sheetId="2" r:id="rId2"/>
    <sheet name="Turbinens flöde" sheetId="3" r:id="rId3"/>
    <sheet name="Tuben" sheetId="4" r:id="rId4"/>
    <sheet name="Fallförluster" sheetId="5" r:id="rId5"/>
    <sheet name="Grindar" sheetId="6" r:id="rId6"/>
    <sheet name="Utskov" sheetId="7" r:id="rId7"/>
  </sheets>
  <definedNames/>
  <calcPr fullCalcOnLoad="1"/>
</workbook>
</file>

<file path=xl/sharedStrings.xml><?xml version="1.0" encoding="utf-8"?>
<sst xmlns="http://schemas.openxmlformats.org/spreadsheetml/2006/main" count="150" uniqueCount="104">
  <si>
    <t>Turbinens diameter</t>
  </si>
  <si>
    <t>m</t>
  </si>
  <si>
    <t>Area</t>
  </si>
  <si>
    <t>m²</t>
  </si>
  <si>
    <t>Fallhöjd</t>
  </si>
  <si>
    <t>Flöde</t>
  </si>
  <si>
    <t>m³/s</t>
  </si>
  <si>
    <t>Effekt</t>
  </si>
  <si>
    <t>kW</t>
  </si>
  <si>
    <t>m/s</t>
  </si>
  <si>
    <t>(Bör ej överstiga 6 m/s²)</t>
  </si>
  <si>
    <t>Verkningsgrad</t>
  </si>
  <si>
    <t>Turbinens flöde</t>
  </si>
  <si>
    <t>Tuben</t>
  </si>
  <si>
    <t>Utskov</t>
  </si>
  <si>
    <t>MHQ</t>
  </si>
  <si>
    <t>MQ</t>
  </si>
  <si>
    <t>LHQ</t>
  </si>
  <si>
    <t>Max effekt</t>
  </si>
  <si>
    <t>Medel effekt</t>
  </si>
  <si>
    <t>Min effekt</t>
  </si>
  <si>
    <t>Årsproduktion</t>
  </si>
  <si>
    <t>kWh</t>
  </si>
  <si>
    <t>Betalt</t>
  </si>
  <si>
    <t>kr</t>
  </si>
  <si>
    <t>Inkomst netto</t>
  </si>
  <si>
    <t>Inkomst brutto</t>
  </si>
  <si>
    <t>Lån</t>
  </si>
  <si>
    <t>Återbetalningstid</t>
  </si>
  <si>
    <t>år</t>
  </si>
  <si>
    <t>Amortering</t>
  </si>
  <si>
    <t>kr/år</t>
  </si>
  <si>
    <t>Ränta</t>
  </si>
  <si>
    <t>Driftskostnad</t>
  </si>
  <si>
    <t>Nettovinst</t>
  </si>
  <si>
    <t>Kalkyl</t>
  </si>
  <si>
    <t>Effekt och fallhöjd</t>
  </si>
  <si>
    <t>W=mgh</t>
  </si>
  <si>
    <t>m=W/gh</t>
  </si>
  <si>
    <t>h=W/mg</t>
  </si>
  <si>
    <t xml:space="preserve">kW </t>
  </si>
  <si>
    <t>m³</t>
  </si>
  <si>
    <t xml:space="preserve">g </t>
  </si>
  <si>
    <t>Teoretisk effekt (kW)</t>
  </si>
  <si>
    <t>Verklig effekt (kW)</t>
  </si>
  <si>
    <t>Verkningsgrad (%)</t>
  </si>
  <si>
    <t>Nettofallhöjd</t>
  </si>
  <si>
    <t>Bredd (B)</t>
  </si>
  <si>
    <t>Höjd över tröskel (Do)</t>
  </si>
  <si>
    <t>Avbördningskoefficient (c)</t>
  </si>
  <si>
    <t>Avbördning (q)</t>
  </si>
  <si>
    <t>______</t>
  </si>
  <si>
    <t>Utskovsöppning (a)</t>
  </si>
  <si>
    <t>Vattenhastighet (v)</t>
  </si>
  <si>
    <t>Mannings tal (M)</t>
  </si>
  <si>
    <t>Vattenvägens längd (L)</t>
  </si>
  <si>
    <t>Friktionsförlust (hf)</t>
  </si>
  <si>
    <t>Sektionsarea (A)</t>
  </si>
  <si>
    <t>q = c B a √2g Do</t>
  </si>
  <si>
    <r>
      <t>M² R</t>
    </r>
    <r>
      <rPr>
        <vertAlign val="superscript"/>
        <sz val="10"/>
        <rFont val="Arial"/>
        <family val="2"/>
      </rPr>
      <t>4/3</t>
    </r>
  </si>
  <si>
    <t>hf =</t>
  </si>
  <si>
    <t>L v²</t>
  </si>
  <si>
    <t>R =</t>
  </si>
  <si>
    <t>A</t>
  </si>
  <si>
    <t>p</t>
  </si>
  <si>
    <t xml:space="preserve">Friktionsförlust </t>
  </si>
  <si>
    <t>kap 6</t>
  </si>
  <si>
    <t>kap 5</t>
  </si>
  <si>
    <t>Rakt rör</t>
  </si>
  <si>
    <t>Sektionsminskning</t>
  </si>
  <si>
    <t>Sektionsökning</t>
  </si>
  <si>
    <t>Krök</t>
  </si>
  <si>
    <t>kap 10</t>
  </si>
  <si>
    <t>Grindar</t>
  </si>
  <si>
    <t>kap 11</t>
  </si>
  <si>
    <t>Vattenhastigheten (v)</t>
  </si>
  <si>
    <t>Grindkoefficient (β)</t>
  </si>
  <si>
    <t>Grindens lutning (α)</t>
  </si>
  <si>
    <t>Grindjärnstjocklek (d)</t>
  </si>
  <si>
    <t>Fritt avstånd mellan grindgärnen (a)</t>
  </si>
  <si>
    <t>°</t>
  </si>
  <si>
    <t>mm</t>
  </si>
  <si>
    <r>
      <t>Hf = β sin α (d/a)</t>
    </r>
    <r>
      <rPr>
        <vertAlign val="superscript"/>
        <sz val="10"/>
        <rFont val="Arial"/>
        <family val="2"/>
      </rPr>
      <t xml:space="preserve">1,25 </t>
    </r>
    <r>
      <rPr>
        <sz val="10"/>
        <rFont val="Arial"/>
        <family val="2"/>
      </rPr>
      <t>v²/2g</t>
    </r>
  </si>
  <si>
    <t>Fallförlust (hf)</t>
  </si>
  <si>
    <t>Plåttjocklek</t>
  </si>
  <si>
    <t>Inre övertryck (p)</t>
  </si>
  <si>
    <t>Tubens diameter (d)</t>
  </si>
  <si>
    <t>Rosttillägg €</t>
  </si>
  <si>
    <t>N/mm², Mpa</t>
  </si>
  <si>
    <t>Mpa</t>
  </si>
  <si>
    <t>Tillåten materialpåkänning (o)</t>
  </si>
  <si>
    <t>Plåttjocklek (t)</t>
  </si>
  <si>
    <t>t=</t>
  </si>
  <si>
    <t>2 o</t>
  </si>
  <si>
    <r>
      <t xml:space="preserve">p d </t>
    </r>
    <r>
      <rPr>
        <sz val="10"/>
        <rFont val="Arial"/>
        <family val="2"/>
      </rPr>
      <t>+ e</t>
    </r>
  </si>
  <si>
    <t>Fallhöjd (H)</t>
  </si>
  <si>
    <t>Flöde (Q)</t>
  </si>
  <si>
    <t>Föreslagen tubdimeter (d)</t>
  </si>
  <si>
    <r>
      <t>d = 1,82 Q</t>
    </r>
    <r>
      <rPr>
        <vertAlign val="superscript"/>
        <sz val="10"/>
        <rFont val="Arial"/>
        <family val="2"/>
      </rPr>
      <t>0,43</t>
    </r>
    <r>
      <rPr>
        <sz val="10"/>
        <rFont val="Arial"/>
        <family val="0"/>
      </rPr>
      <t xml:space="preserve"> / H</t>
    </r>
    <r>
      <rPr>
        <vertAlign val="superscript"/>
        <sz val="10"/>
        <rFont val="Arial"/>
        <family val="2"/>
      </rPr>
      <t xml:space="preserve"> 0,22</t>
    </r>
  </si>
  <si>
    <t>v = Q/A</t>
  </si>
  <si>
    <t>Egen tubdiameter (d)</t>
  </si>
  <si>
    <t>Våta perimetern (p)*</t>
  </si>
  <si>
    <t>* på en tub är det inneromkretsen på tuben, på kanal ytan som är i kontakt med vattnet</t>
  </si>
  <si>
    <t>Avdrag lån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</si>
</sst>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"/>
    <numFmt numFmtId="166" formatCode="0.0000"/>
    <numFmt numFmtId="167" formatCode="0.000"/>
    <numFmt numFmtId="168" formatCode="_-* #,##0.0\ _k_r_-;\-* #,##0.0\ _k_r_-;_-* &quot;-&quot;\ _k_r_-;_-@_-"/>
    <numFmt numFmtId="169" formatCode="#,##0_ ;\-#,##0\ "/>
    <numFmt numFmtId="170" formatCode="#,##0.00_ ;\-#,##0.00\ "/>
    <numFmt numFmtId="171" formatCode="#,##0.0_ ;\-#,##0.0\ "/>
    <numFmt numFmtId="172" formatCode="#,##0.0"/>
    <numFmt numFmtId="173" formatCode="#,##0_ ;[Red]\-#,##0\ "/>
    <numFmt numFmtId="174" formatCode="0.0000000"/>
    <numFmt numFmtId="175" formatCode="0.000000"/>
  </numFmts>
  <fonts count="6">
    <font>
      <sz val="10"/>
      <name val="Arial"/>
      <family val="0"/>
    </font>
    <font>
      <sz val="8"/>
      <name val="Arial"/>
      <family val="0"/>
    </font>
    <font>
      <b/>
      <sz val="36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9" fontId="0" fillId="2" borderId="0" xfId="15" applyFill="1" applyAlignment="1">
      <alignment/>
    </xf>
    <xf numFmtId="0" fontId="2" fillId="2" borderId="0" xfId="0" applyFont="1" applyFill="1" applyAlignment="1">
      <alignment/>
    </xf>
    <xf numFmtId="2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 applyProtection="1">
      <alignment/>
      <protection locked="0"/>
    </xf>
    <xf numFmtId="164" fontId="0" fillId="4" borderId="0" xfId="0" applyNumberFormat="1" applyFill="1" applyAlignment="1" applyProtection="1">
      <alignment/>
      <protection locked="0"/>
    </xf>
    <xf numFmtId="2" fontId="0" fillId="4" borderId="0" xfId="0" applyNumberFormat="1" applyFill="1" applyAlignment="1" applyProtection="1">
      <alignment/>
      <protection locked="0"/>
    </xf>
    <xf numFmtId="4" fontId="0" fillId="3" borderId="0" xfId="0" applyNumberFormat="1" applyFill="1" applyAlignment="1">
      <alignment/>
    </xf>
    <xf numFmtId="4" fontId="0" fillId="4" borderId="0" xfId="0" applyNumberFormat="1" applyFill="1" applyAlignment="1" applyProtection="1">
      <alignment/>
      <protection locked="0"/>
    </xf>
    <xf numFmtId="169" fontId="0" fillId="4" borderId="0" xfId="18" applyNumberFormat="1" applyFill="1" applyAlignment="1" applyProtection="1">
      <alignment/>
      <protection locked="0"/>
    </xf>
    <xf numFmtId="169" fontId="0" fillId="4" borderId="0" xfId="18" applyNumberFormat="1" applyFont="1" applyFill="1" applyAlignment="1" applyProtection="1">
      <alignment/>
      <protection locked="0"/>
    </xf>
    <xf numFmtId="169" fontId="0" fillId="3" borderId="0" xfId="18" applyNumberFormat="1" applyFont="1" applyFill="1" applyAlignment="1">
      <alignment/>
    </xf>
    <xf numFmtId="169" fontId="0" fillId="3" borderId="0" xfId="18" applyNumberFormat="1" applyFill="1" applyAlignment="1">
      <alignment/>
    </xf>
    <xf numFmtId="3" fontId="0" fillId="3" borderId="0" xfId="0" applyNumberFormat="1" applyFill="1" applyAlignment="1">
      <alignment/>
    </xf>
    <xf numFmtId="3" fontId="5" fillId="3" borderId="0" xfId="0" applyNumberFormat="1" applyFont="1" applyFill="1" applyAlignment="1">
      <alignment/>
    </xf>
    <xf numFmtId="173" fontId="5" fillId="3" borderId="0" xfId="18" applyNumberFormat="1" applyFont="1" applyFill="1" applyAlignment="1">
      <alignment/>
    </xf>
    <xf numFmtId="4" fontId="0" fillId="2" borderId="0" xfId="0" applyNumberFormat="1" applyFill="1" applyAlignment="1">
      <alignment/>
    </xf>
    <xf numFmtId="9" fontId="0" fillId="3" borderId="0" xfId="15" applyFill="1" applyAlignment="1">
      <alignment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15" sqref="B15"/>
    </sheetView>
  </sheetViews>
  <sheetFormatPr defaultColWidth="9.140625" defaultRowHeight="12.75"/>
  <cols>
    <col min="1" max="1" width="15.00390625" style="0" customWidth="1"/>
    <col min="2" max="2" width="14.57421875" style="0" customWidth="1"/>
  </cols>
  <sheetData>
    <row r="1" spans="1:4" ht="45">
      <c r="A1" s="3" t="s">
        <v>35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 t="s">
        <v>4</v>
      </c>
      <c r="B3" s="8">
        <v>17</v>
      </c>
      <c r="C3" s="1" t="s">
        <v>1</v>
      </c>
      <c r="D3" s="1"/>
    </row>
    <row r="4" spans="1:4" ht="12.75">
      <c r="A4" s="1" t="s">
        <v>15</v>
      </c>
      <c r="B4" s="9">
        <v>1.2</v>
      </c>
      <c r="C4" s="1" t="s">
        <v>6</v>
      </c>
      <c r="D4" s="1"/>
    </row>
    <row r="5" spans="1:4" ht="12.75">
      <c r="A5" s="1" t="s">
        <v>16</v>
      </c>
      <c r="B5" s="9">
        <v>0.39</v>
      </c>
      <c r="C5" s="1" t="s">
        <v>6</v>
      </c>
      <c r="D5" s="1"/>
    </row>
    <row r="6" spans="1:4" ht="12.75">
      <c r="A6" s="1" t="s">
        <v>17</v>
      </c>
      <c r="B6" s="9">
        <v>0.11</v>
      </c>
      <c r="C6" s="1" t="s">
        <v>6</v>
      </c>
      <c r="D6" s="1"/>
    </row>
    <row r="7" spans="1:4" ht="12.75">
      <c r="A7" s="1" t="s">
        <v>11</v>
      </c>
      <c r="B7" s="9">
        <v>0.8</v>
      </c>
      <c r="C7" s="1"/>
      <c r="D7" s="1"/>
    </row>
    <row r="8" spans="1:4" ht="12.75">
      <c r="A8" s="1"/>
      <c r="B8" s="1"/>
      <c r="C8" s="1"/>
      <c r="D8" s="1"/>
    </row>
    <row r="9" spans="1:4" ht="12.75">
      <c r="A9" s="1" t="s">
        <v>18</v>
      </c>
      <c r="B9" s="10">
        <f>B4*9.81*$B$3*$B$7</f>
        <v>160.0992</v>
      </c>
      <c r="C9" s="1" t="s">
        <v>8</v>
      </c>
      <c r="D9" s="1"/>
    </row>
    <row r="10" spans="1:4" ht="12.75">
      <c r="A10" s="1" t="s">
        <v>19</v>
      </c>
      <c r="B10" s="10">
        <f>B5*9.81*$B$3*$B$7</f>
        <v>52.03224</v>
      </c>
      <c r="C10" s="1" t="s">
        <v>8</v>
      </c>
      <c r="D10" s="1"/>
    </row>
    <row r="11" spans="1:4" ht="12.75">
      <c r="A11" s="1" t="s">
        <v>20</v>
      </c>
      <c r="B11" s="10">
        <f>B6*9.81*$B$3*$B$7</f>
        <v>14.675760000000004</v>
      </c>
      <c r="C11" s="1" t="s">
        <v>8</v>
      </c>
      <c r="D11" s="1"/>
    </row>
    <row r="12" spans="1:4" ht="12.75">
      <c r="A12" s="1"/>
      <c r="B12" s="19"/>
      <c r="C12" s="1"/>
      <c r="D12" s="1"/>
    </row>
    <row r="13" spans="1:4" ht="12.75">
      <c r="A13" s="1" t="s">
        <v>21</v>
      </c>
      <c r="B13" s="16">
        <f>365*24*B10</f>
        <v>455802.42240000004</v>
      </c>
      <c r="C13" s="1" t="s">
        <v>22</v>
      </c>
      <c r="D13" s="1"/>
    </row>
    <row r="14" spans="1:4" ht="12.75">
      <c r="A14" s="1" t="s">
        <v>23</v>
      </c>
      <c r="B14" s="11">
        <v>0.7</v>
      </c>
      <c r="C14" s="1" t="s">
        <v>24</v>
      </c>
      <c r="D14" s="1"/>
    </row>
    <row r="15" spans="1:4" ht="12.75">
      <c r="A15" s="1" t="s">
        <v>26</v>
      </c>
      <c r="B15" s="16">
        <f>B14*B13</f>
        <v>319061.69568</v>
      </c>
      <c r="C15" s="1" t="s">
        <v>24</v>
      </c>
      <c r="D15" s="1"/>
    </row>
    <row r="16" spans="1:4" ht="12.75">
      <c r="A16" s="1" t="s">
        <v>25</v>
      </c>
      <c r="B16" s="17">
        <f>B15*0.7</f>
        <v>223343.186976</v>
      </c>
      <c r="C16" s="1" t="s">
        <v>24</v>
      </c>
      <c r="D16" s="1"/>
    </row>
    <row r="17" spans="1:4" ht="12.75">
      <c r="A17" s="1"/>
      <c r="B17" s="1"/>
      <c r="C17" s="1"/>
      <c r="D17" s="1"/>
    </row>
    <row r="18" spans="1:4" ht="12.75">
      <c r="A18" s="1" t="s">
        <v>27</v>
      </c>
      <c r="B18" s="12">
        <v>800000</v>
      </c>
      <c r="C18" s="1" t="s">
        <v>24</v>
      </c>
      <c r="D18" s="1"/>
    </row>
    <row r="19" spans="1:4" ht="12.75">
      <c r="A19" s="1" t="s">
        <v>28</v>
      </c>
      <c r="B19" s="12">
        <v>30</v>
      </c>
      <c r="C19" s="1" t="s">
        <v>29</v>
      </c>
      <c r="D19" s="1"/>
    </row>
    <row r="20" spans="1:4" ht="12.75">
      <c r="A20" s="1" t="s">
        <v>30</v>
      </c>
      <c r="B20" s="15">
        <f>B18/B19</f>
        <v>26666.666666666668</v>
      </c>
      <c r="C20" s="1" t="s">
        <v>31</v>
      </c>
      <c r="D20" s="1"/>
    </row>
    <row r="21" spans="1:4" ht="12.75">
      <c r="A21" s="1" t="s">
        <v>32</v>
      </c>
      <c r="B21" s="15">
        <f>B18*0.04</f>
        <v>32000</v>
      </c>
      <c r="C21" s="1" t="s">
        <v>31</v>
      </c>
      <c r="D21" s="1"/>
    </row>
    <row r="22" spans="1:4" ht="12.75">
      <c r="A22" s="1" t="s">
        <v>33</v>
      </c>
      <c r="B22" s="13">
        <v>20000</v>
      </c>
      <c r="C22" s="1" t="s">
        <v>31</v>
      </c>
      <c r="D22" s="1"/>
    </row>
    <row r="23" spans="1:4" ht="12.75">
      <c r="A23" s="1" t="s">
        <v>103</v>
      </c>
      <c r="B23" s="14">
        <f>B21*-0.2</f>
        <v>-6400</v>
      </c>
      <c r="C23" s="1" t="s">
        <v>31</v>
      </c>
      <c r="D23" s="1"/>
    </row>
    <row r="24" spans="1:4" ht="12.75">
      <c r="A24" s="1" t="s">
        <v>34</v>
      </c>
      <c r="B24" s="18">
        <f>B16-B20-B21-B22-B23</f>
        <v>151076.52030933334</v>
      </c>
      <c r="C24" s="1" t="s">
        <v>31</v>
      </c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19" sqref="B19"/>
    </sheetView>
  </sheetViews>
  <sheetFormatPr defaultColWidth="9.140625" defaultRowHeight="12.75"/>
  <cols>
    <col min="1" max="1" width="19.7109375" style="0" customWidth="1"/>
    <col min="2" max="4" width="12.421875" style="0" customWidth="1"/>
  </cols>
  <sheetData>
    <row r="1" spans="1:6" ht="45">
      <c r="A1" s="23" t="s">
        <v>36</v>
      </c>
      <c r="B1" s="23"/>
      <c r="C1" s="23"/>
      <c r="D1" s="23"/>
      <c r="E1" s="23"/>
      <c r="F1" s="23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24" t="s">
        <v>37</v>
      </c>
      <c r="C3" s="24" t="s">
        <v>38</v>
      </c>
      <c r="D3" s="24" t="s">
        <v>39</v>
      </c>
      <c r="E3" s="1"/>
      <c r="F3" s="1"/>
    </row>
    <row r="4" spans="1:6" ht="12.75">
      <c r="A4" s="21" t="s">
        <v>40</v>
      </c>
      <c r="B4" s="4">
        <f>B5*B7*B6</f>
        <v>5.591507999999999</v>
      </c>
      <c r="C4" s="7">
        <v>50</v>
      </c>
      <c r="D4" s="7">
        <v>50</v>
      </c>
      <c r="E4" s="1"/>
      <c r="F4" s="1"/>
    </row>
    <row r="5" spans="1:6" ht="12.75">
      <c r="A5" s="21" t="s">
        <v>41</v>
      </c>
      <c r="B5" s="9">
        <v>0.078</v>
      </c>
      <c r="C5" s="4">
        <f>C4/C7/C6</f>
        <v>0.29950880555888343</v>
      </c>
      <c r="D5" s="9">
        <v>0.5</v>
      </c>
      <c r="E5" s="1"/>
      <c r="F5" s="1"/>
    </row>
    <row r="6" spans="1:6" ht="12.75">
      <c r="A6" s="21" t="s">
        <v>1</v>
      </c>
      <c r="B6" s="7">
        <v>7.3</v>
      </c>
      <c r="C6" s="7">
        <v>17</v>
      </c>
      <c r="D6" s="4">
        <f>D4/D5/D7</f>
        <v>10.183299389002036</v>
      </c>
      <c r="E6" s="1"/>
      <c r="F6" s="1"/>
    </row>
    <row r="7" spans="1:6" ht="12.75">
      <c r="A7" s="21" t="s">
        <v>42</v>
      </c>
      <c r="B7" s="7">
        <v>9.82</v>
      </c>
      <c r="C7" s="7">
        <v>9.82</v>
      </c>
      <c r="D7" s="7">
        <v>9.82</v>
      </c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21" t="s">
        <v>43</v>
      </c>
      <c r="B9" s="7">
        <v>50</v>
      </c>
      <c r="C9" s="22"/>
      <c r="D9" s="22"/>
      <c r="E9" s="1"/>
      <c r="F9" s="1"/>
    </row>
    <row r="10" spans="1:6" ht="12.75">
      <c r="A10" s="21" t="s">
        <v>44</v>
      </c>
      <c r="B10" s="7">
        <v>43</v>
      </c>
      <c r="C10" s="1"/>
      <c r="D10" s="1"/>
      <c r="E10" s="1"/>
      <c r="F10" s="1"/>
    </row>
    <row r="11" spans="1:6" ht="12.75">
      <c r="A11" s="21" t="s">
        <v>45</v>
      </c>
      <c r="B11" s="20">
        <f>B10/B9</f>
        <v>0.86</v>
      </c>
      <c r="C11" s="2"/>
      <c r="D11" s="2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21" t="s">
        <v>45</v>
      </c>
      <c r="B13" s="7">
        <v>0.86</v>
      </c>
      <c r="C13" s="1"/>
      <c r="D13" s="1"/>
      <c r="E13" s="1"/>
      <c r="F13" s="1"/>
    </row>
    <row r="14" spans="1:6" ht="12.75">
      <c r="A14" s="21" t="s">
        <v>44</v>
      </c>
      <c r="B14" s="7">
        <v>43</v>
      </c>
      <c r="C14" s="1"/>
      <c r="D14" s="1"/>
      <c r="E14" s="1"/>
      <c r="F14" s="1"/>
    </row>
    <row r="15" spans="1:6" ht="12.75">
      <c r="A15" s="21" t="s">
        <v>43</v>
      </c>
      <c r="B15" s="6">
        <f>(1-B13)*B14+B14</f>
        <v>49.02</v>
      </c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21" t="s">
        <v>43</v>
      </c>
      <c r="B17" s="9">
        <v>5.59</v>
      </c>
      <c r="C17" s="1"/>
      <c r="D17" s="1"/>
      <c r="E17" s="1"/>
      <c r="F17" s="1"/>
    </row>
    <row r="18" spans="1:6" ht="12.75">
      <c r="A18" s="21" t="s">
        <v>45</v>
      </c>
      <c r="B18" s="7">
        <v>0.8</v>
      </c>
      <c r="C18" s="1"/>
      <c r="D18" s="1"/>
      <c r="E18" s="1"/>
      <c r="F18" s="1"/>
    </row>
    <row r="19" spans="1:6" ht="12.75">
      <c r="A19" s="21" t="s">
        <v>44</v>
      </c>
      <c r="B19" s="4">
        <f>B17*B18</f>
        <v>4.472</v>
      </c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</sheetData>
  <sheetProtection sheet="1" objects="1" scenarios="1"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9.7109375" style="0" bestFit="1" customWidth="1"/>
  </cols>
  <sheetData>
    <row r="1" spans="1:6" ht="45">
      <c r="A1" s="3" t="s">
        <v>12</v>
      </c>
      <c r="B1" s="1"/>
      <c r="C1" s="1"/>
      <c r="D1" s="1"/>
      <c r="E1" s="1"/>
      <c r="F1" s="1" t="s">
        <v>72</v>
      </c>
    </row>
    <row r="2" spans="1:6" ht="12.75">
      <c r="A2" s="1"/>
      <c r="B2" s="1"/>
      <c r="C2" s="1"/>
      <c r="D2" s="1"/>
      <c r="E2" s="1"/>
      <c r="F2" s="1"/>
    </row>
    <row r="3" spans="1:6" ht="12.75">
      <c r="A3" s="1" t="s">
        <v>0</v>
      </c>
      <c r="B3" s="9">
        <v>0.6</v>
      </c>
      <c r="C3" s="1" t="s">
        <v>1</v>
      </c>
      <c r="D3" s="1"/>
      <c r="E3" s="1"/>
      <c r="F3" s="1"/>
    </row>
    <row r="4" spans="1:6" ht="12.75">
      <c r="A4" s="1" t="s">
        <v>2</v>
      </c>
      <c r="B4" s="4">
        <f>(B3/2)^2*PI()</f>
        <v>0.2827433388230814</v>
      </c>
      <c r="C4" s="1" t="s">
        <v>3</v>
      </c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 t="s">
        <v>46</v>
      </c>
      <c r="B6" s="8">
        <v>14</v>
      </c>
      <c r="C6" s="1" t="s">
        <v>1</v>
      </c>
      <c r="D6" s="1"/>
      <c r="E6" s="1"/>
      <c r="F6" s="1"/>
    </row>
    <row r="7" spans="1:6" ht="12.75">
      <c r="A7" s="1" t="s">
        <v>5</v>
      </c>
      <c r="B7" s="5">
        <f>B4*SQRT(2*9.82*B6)</f>
        <v>4.688426820544455</v>
      </c>
      <c r="C7" s="1" t="s">
        <v>6</v>
      </c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 t="s">
        <v>11</v>
      </c>
      <c r="B9" s="7">
        <v>0.85</v>
      </c>
      <c r="C9" s="1"/>
      <c r="D9" s="1"/>
      <c r="E9" s="1"/>
      <c r="F9" s="1"/>
    </row>
    <row r="10" spans="1:6" ht="12.75">
      <c r="A10" s="1" t="s">
        <v>7</v>
      </c>
      <c r="B10" s="6">
        <f>B7*9.82*B6*B9</f>
        <v>547.880181395184</v>
      </c>
      <c r="C10" s="1" t="s">
        <v>8</v>
      </c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18" sqref="B18"/>
    </sheetView>
  </sheetViews>
  <sheetFormatPr defaultColWidth="9.140625" defaultRowHeight="12.75"/>
  <cols>
    <col min="1" max="1" width="25.28125" style="0" customWidth="1"/>
    <col min="2" max="2" width="9.421875" style="0" customWidth="1"/>
  </cols>
  <sheetData>
    <row r="1" spans="1:7" ht="45">
      <c r="A1" s="3" t="s">
        <v>13</v>
      </c>
      <c r="B1" s="1"/>
      <c r="C1" s="1" t="s">
        <v>74</v>
      </c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 t="s">
        <v>95</v>
      </c>
      <c r="B3" s="7">
        <v>8</v>
      </c>
      <c r="C3" s="1" t="s">
        <v>1</v>
      </c>
      <c r="D3" s="1"/>
      <c r="E3" s="1"/>
      <c r="F3" s="1"/>
      <c r="G3" s="1"/>
    </row>
    <row r="4" spans="1:7" ht="12.75">
      <c r="A4" s="1" t="s">
        <v>96</v>
      </c>
      <c r="B4" s="7">
        <v>0.078</v>
      </c>
      <c r="C4" s="1" t="s">
        <v>6</v>
      </c>
      <c r="D4" s="1"/>
      <c r="E4" s="1"/>
      <c r="F4" s="1"/>
      <c r="G4" s="1"/>
    </row>
    <row r="5" spans="1:7" ht="14.25">
      <c r="A5" s="1" t="s">
        <v>97</v>
      </c>
      <c r="B5" s="5">
        <f>1.82*B4^0.43/B3^0.22</f>
        <v>0.38458493676709576</v>
      </c>
      <c r="C5" s="1" t="s">
        <v>1</v>
      </c>
      <c r="D5" s="1" t="s">
        <v>98</v>
      </c>
      <c r="E5" s="1"/>
      <c r="F5" s="1"/>
      <c r="G5" s="1"/>
    </row>
    <row r="6" spans="1:7" ht="12.75">
      <c r="A6" s="1" t="s">
        <v>53</v>
      </c>
      <c r="B6" s="4">
        <f>B4/((B5/2)^2*PI())</f>
        <v>0.6714600544120319</v>
      </c>
      <c r="C6" s="1" t="s">
        <v>9</v>
      </c>
      <c r="D6" s="1" t="s">
        <v>99</v>
      </c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 t="s">
        <v>100</v>
      </c>
      <c r="B8" s="7">
        <v>0.4</v>
      </c>
      <c r="C8" s="1" t="s">
        <v>1</v>
      </c>
      <c r="D8" s="1"/>
      <c r="E8" s="1"/>
      <c r="F8" s="1"/>
      <c r="G8" s="1"/>
    </row>
    <row r="9" spans="1:7" ht="12.75">
      <c r="A9" s="1" t="s">
        <v>53</v>
      </c>
      <c r="B9" s="4">
        <f>B4/((B8/2)^2*PI())</f>
        <v>0.6207042780583918</v>
      </c>
      <c r="C9" s="1" t="s">
        <v>9</v>
      </c>
      <c r="D9" s="1" t="s">
        <v>10</v>
      </c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 t="s">
        <v>84</v>
      </c>
      <c r="B13" s="1"/>
      <c r="C13" s="1"/>
      <c r="D13" s="1"/>
      <c r="E13" s="1"/>
      <c r="F13" s="1"/>
      <c r="G13" s="1"/>
    </row>
    <row r="14" spans="1:7" ht="12.75">
      <c r="A14" s="1" t="s">
        <v>85</v>
      </c>
      <c r="B14" s="7">
        <v>6</v>
      </c>
      <c r="C14" s="1" t="s">
        <v>88</v>
      </c>
      <c r="D14" s="1"/>
      <c r="E14" s="1"/>
      <c r="F14" s="1"/>
      <c r="G14" s="1"/>
    </row>
    <row r="15" spans="1:7" ht="12.75">
      <c r="A15" s="1" t="s">
        <v>86</v>
      </c>
      <c r="B15" s="7">
        <v>400</v>
      </c>
      <c r="C15" s="1" t="s">
        <v>81</v>
      </c>
      <c r="D15" s="1"/>
      <c r="E15" s="1"/>
      <c r="F15" s="1"/>
      <c r="G15" s="1"/>
    </row>
    <row r="16" spans="1:7" ht="12.75">
      <c r="A16" s="1" t="s">
        <v>87</v>
      </c>
      <c r="B16" s="7">
        <v>1</v>
      </c>
      <c r="C16" s="1" t="s">
        <v>81</v>
      </c>
      <c r="D16" s="1"/>
      <c r="E16" s="1"/>
      <c r="F16" s="1"/>
      <c r="G16" s="1"/>
    </row>
    <row r="17" spans="1:7" ht="12.75">
      <c r="A17" s="1" t="s">
        <v>90</v>
      </c>
      <c r="B17" s="7">
        <v>800</v>
      </c>
      <c r="C17" s="1" t="s">
        <v>89</v>
      </c>
      <c r="D17" s="1"/>
      <c r="E17" s="1"/>
      <c r="F17" s="1"/>
      <c r="G17" s="1"/>
    </row>
    <row r="18" spans="1:7" ht="12.75">
      <c r="A18" s="1" t="s">
        <v>91</v>
      </c>
      <c r="B18" s="6">
        <f>B14*B15/(2*B17)+B16</f>
        <v>2.5</v>
      </c>
      <c r="C18" s="1" t="s">
        <v>81</v>
      </c>
      <c r="D18" s="1"/>
      <c r="E18" s="21" t="s">
        <v>92</v>
      </c>
      <c r="F18" s="25" t="s">
        <v>94</v>
      </c>
      <c r="G18" s="1"/>
    </row>
    <row r="19" spans="1:7" ht="12.75">
      <c r="A19" s="1"/>
      <c r="B19" s="1"/>
      <c r="C19" s="1"/>
      <c r="D19" s="1"/>
      <c r="E19" s="1"/>
      <c r="F19" s="1" t="s">
        <v>93</v>
      </c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4" sqref="B4"/>
    </sheetView>
  </sheetViews>
  <sheetFormatPr defaultColWidth="9.140625" defaultRowHeight="12.75"/>
  <cols>
    <col min="1" max="1" width="20.7109375" style="0" customWidth="1"/>
    <col min="2" max="2" width="10.28125" style="0" bestFit="1" customWidth="1"/>
    <col min="4" max="4" width="7.57421875" style="0" customWidth="1"/>
    <col min="5" max="5" width="7.00390625" style="0" customWidth="1"/>
  </cols>
  <sheetData>
    <row r="1" spans="1:9" ht="45">
      <c r="A1" s="3" t="s">
        <v>65</v>
      </c>
      <c r="B1" s="1"/>
      <c r="C1" s="1"/>
      <c r="D1" s="1"/>
      <c r="E1" s="1"/>
      <c r="F1" s="1" t="s">
        <v>66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68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55</v>
      </c>
      <c r="B4" s="7">
        <v>800</v>
      </c>
      <c r="C4" s="1" t="s">
        <v>1</v>
      </c>
      <c r="D4" s="1"/>
      <c r="E4" s="1"/>
      <c r="F4" s="1"/>
      <c r="G4" s="1"/>
      <c r="H4" s="1"/>
      <c r="I4" s="1"/>
    </row>
    <row r="5" spans="1:9" ht="12.75">
      <c r="A5" s="1" t="s">
        <v>53</v>
      </c>
      <c r="B5" s="7">
        <v>0.62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 t="s">
        <v>54</v>
      </c>
      <c r="B6" s="7">
        <v>100</v>
      </c>
      <c r="C6" s="1"/>
      <c r="D6" s="1"/>
      <c r="E6" s="1"/>
      <c r="F6" s="1"/>
      <c r="G6" s="1"/>
      <c r="H6" s="1"/>
      <c r="I6" s="1"/>
    </row>
    <row r="7" spans="1:9" ht="12.75">
      <c r="A7" s="1" t="s">
        <v>57</v>
      </c>
      <c r="B7" s="7">
        <f>0.2^2*3.14</f>
        <v>0.12560000000000002</v>
      </c>
      <c r="C7" s="1" t="s">
        <v>3</v>
      </c>
      <c r="D7" s="1"/>
      <c r="E7" s="1"/>
      <c r="F7" s="1"/>
      <c r="G7" s="1"/>
      <c r="H7" s="1"/>
      <c r="I7" s="1"/>
    </row>
    <row r="8" spans="1:9" ht="12.75">
      <c r="A8" s="1" t="s">
        <v>101</v>
      </c>
      <c r="B8" s="7">
        <f>0.4*3.14</f>
        <v>1.2560000000000002</v>
      </c>
      <c r="C8" s="1" t="s">
        <v>1</v>
      </c>
      <c r="D8" s="1"/>
      <c r="E8" s="1"/>
      <c r="F8" s="1"/>
      <c r="G8" s="1"/>
      <c r="H8" s="1"/>
      <c r="I8" s="1"/>
    </row>
    <row r="9" spans="1:9" ht="12.75">
      <c r="A9" s="1" t="s">
        <v>56</v>
      </c>
      <c r="B9" s="4">
        <f>B4*B5^2/(B6^2*(B7/B8)^(4/3))</f>
        <v>0.6625317558786052</v>
      </c>
      <c r="C9" s="1" t="s">
        <v>1</v>
      </c>
      <c r="D9" s="21" t="s">
        <v>60</v>
      </c>
      <c r="E9" s="26" t="s">
        <v>61</v>
      </c>
      <c r="F9" s="1"/>
      <c r="G9" s="21" t="s">
        <v>62</v>
      </c>
      <c r="H9" s="25" t="s">
        <v>63</v>
      </c>
      <c r="I9" s="1"/>
    </row>
    <row r="10" spans="1:9" ht="14.25">
      <c r="A10" s="1"/>
      <c r="B10" s="1"/>
      <c r="C10" s="1"/>
      <c r="D10" s="1"/>
      <c r="E10" s="1" t="s">
        <v>59</v>
      </c>
      <c r="F10" s="1"/>
      <c r="G10" s="1"/>
      <c r="H10" s="1" t="s">
        <v>64</v>
      </c>
      <c r="I10" s="1"/>
    </row>
    <row r="11" spans="1:9" ht="12.75">
      <c r="A11" s="1" t="s">
        <v>102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 t="s">
        <v>69</v>
      </c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 t="s">
        <v>70</v>
      </c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 t="s">
        <v>71</v>
      </c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7" sqref="B7"/>
    </sheetView>
  </sheetViews>
  <sheetFormatPr defaultColWidth="9.140625" defaultRowHeight="12.75"/>
  <cols>
    <col min="1" max="1" width="30.28125" style="0" customWidth="1"/>
    <col min="2" max="2" width="8.7109375" style="0" customWidth="1"/>
  </cols>
  <sheetData>
    <row r="1" spans="1:7" ht="45">
      <c r="A1" s="3" t="s">
        <v>73</v>
      </c>
      <c r="B1" s="1"/>
      <c r="C1" s="1" t="s">
        <v>74</v>
      </c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 t="s">
        <v>76</v>
      </c>
      <c r="B3" s="7">
        <v>0.76</v>
      </c>
      <c r="C3" s="1"/>
      <c r="D3" s="1"/>
      <c r="E3" s="1"/>
      <c r="F3" s="1"/>
      <c r="G3" s="1"/>
    </row>
    <row r="4" spans="1:7" ht="12.75">
      <c r="A4" s="1" t="s">
        <v>77</v>
      </c>
      <c r="B4" s="7">
        <v>30</v>
      </c>
      <c r="C4" s="1" t="s">
        <v>80</v>
      </c>
      <c r="D4" s="1"/>
      <c r="E4" s="1"/>
      <c r="F4" s="1"/>
      <c r="G4" s="1"/>
    </row>
    <row r="5" spans="1:7" ht="12.75">
      <c r="A5" s="1" t="s">
        <v>78</v>
      </c>
      <c r="B5" s="7">
        <v>15</v>
      </c>
      <c r="C5" s="1" t="s">
        <v>81</v>
      </c>
      <c r="D5" s="1"/>
      <c r="E5" s="1"/>
      <c r="F5" s="1"/>
      <c r="G5" s="1"/>
    </row>
    <row r="6" spans="1:7" ht="12.75">
      <c r="A6" s="1" t="s">
        <v>79</v>
      </c>
      <c r="B6" s="7">
        <v>20</v>
      </c>
      <c r="C6" s="1" t="s">
        <v>81</v>
      </c>
      <c r="D6" s="1"/>
      <c r="E6" s="1"/>
      <c r="F6" s="1"/>
      <c r="G6" s="1"/>
    </row>
    <row r="7" spans="1:7" ht="12.75">
      <c r="A7" s="1" t="s">
        <v>75</v>
      </c>
      <c r="B7" s="7">
        <v>2.14</v>
      </c>
      <c r="C7" s="1" t="s">
        <v>9</v>
      </c>
      <c r="D7" s="1"/>
      <c r="E7" s="1"/>
      <c r="F7" s="1"/>
      <c r="G7" s="1"/>
    </row>
    <row r="8" spans="1:7" ht="14.25">
      <c r="A8" s="1" t="s">
        <v>83</v>
      </c>
      <c r="B8" s="4">
        <f>B3*SIN(B4*PI()/180)*(B5/B6)^1.25*B7^2/(2*9.82)</f>
        <v>0.06184381026639678</v>
      </c>
      <c r="C8" s="1" t="s">
        <v>1</v>
      </c>
      <c r="D8" s="1"/>
      <c r="E8" s="1" t="s">
        <v>82</v>
      </c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6" sqref="B6"/>
    </sheetView>
  </sheetViews>
  <sheetFormatPr defaultColWidth="9.140625" defaultRowHeight="12.75"/>
  <cols>
    <col min="1" max="1" width="23.28125" style="0" customWidth="1"/>
    <col min="5" max="5" width="9.421875" style="0" customWidth="1"/>
  </cols>
  <sheetData>
    <row r="1" spans="1:7" ht="45">
      <c r="A1" s="3" t="s">
        <v>14</v>
      </c>
      <c r="B1" s="1"/>
      <c r="C1" s="1" t="s">
        <v>67</v>
      </c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 t="s">
        <v>47</v>
      </c>
      <c r="B3" s="7">
        <v>1</v>
      </c>
      <c r="C3" s="1" t="s">
        <v>1</v>
      </c>
      <c r="D3" s="1"/>
      <c r="E3" s="1"/>
      <c r="F3" s="1"/>
      <c r="G3" s="1"/>
    </row>
    <row r="4" spans="1:7" ht="12.75">
      <c r="A4" s="1" t="s">
        <v>48</v>
      </c>
      <c r="B4" s="7">
        <v>2</v>
      </c>
      <c r="C4" s="1" t="s">
        <v>1</v>
      </c>
      <c r="D4" s="1"/>
      <c r="E4" s="1"/>
      <c r="F4" s="1"/>
      <c r="G4" s="1"/>
    </row>
    <row r="5" spans="1:7" ht="12.75">
      <c r="A5" s="1" t="s">
        <v>52</v>
      </c>
      <c r="B5" s="7">
        <v>1.45</v>
      </c>
      <c r="C5" s="1" t="s">
        <v>1</v>
      </c>
      <c r="D5" s="1"/>
      <c r="E5" s="1"/>
      <c r="F5" s="1"/>
      <c r="G5" s="1"/>
    </row>
    <row r="6" spans="1:7" ht="12.75">
      <c r="A6" s="1" t="s">
        <v>49</v>
      </c>
      <c r="B6" s="7">
        <v>0.55</v>
      </c>
      <c r="C6" s="1"/>
      <c r="D6" s="1"/>
      <c r="E6" s="1"/>
      <c r="F6" s="1" t="s">
        <v>51</v>
      </c>
      <c r="G6" s="1"/>
    </row>
    <row r="7" spans="1:7" ht="12.75">
      <c r="A7" s="1" t="s">
        <v>50</v>
      </c>
      <c r="B7" s="4">
        <f>B6*B3*B5*SQRT(2*9.82*B4)</f>
        <v>4.998232237501575</v>
      </c>
      <c r="C7" s="1" t="s">
        <v>6</v>
      </c>
      <c r="D7" s="1"/>
      <c r="E7" s="1" t="s">
        <v>58</v>
      </c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Wasabrod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Provbag</dc:creator>
  <cp:keywords/>
  <dc:description/>
  <cp:lastModifiedBy>Leif Kuhlin</cp:lastModifiedBy>
  <dcterms:created xsi:type="dcterms:W3CDTF">2004-03-24T06:02:58Z</dcterms:created>
  <dcterms:modified xsi:type="dcterms:W3CDTF">2008-09-10T11:44:59Z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-815453652</vt:i4>
  </property>
  <property fmtid="{D5CDD505-2E9C-101B-9397-08002B2CF9AE}" pid="3" name="_EmailSubject">
    <vt:lpwstr>fil</vt:lpwstr>
  </property>
  <property fmtid="{D5CDD505-2E9C-101B-9397-08002B2CF9AE}" pid="4" name="_AuthorEmail">
    <vt:lpwstr>Leif.Kuhlin@barilla-wasa.com</vt:lpwstr>
  </property>
  <property fmtid="{D5CDD505-2E9C-101B-9397-08002B2CF9AE}" pid="5" name="_AuthorEmailDisplayName">
    <vt:lpwstr>Kuhlin Leif</vt:lpwstr>
  </property>
  <property fmtid="{D5CDD505-2E9C-101B-9397-08002B2CF9AE}" pid="6" name="_ReviewingToolsShownOnce">
    <vt:lpwstr/>
  </property>
</Properties>
</file>